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<sst xmlns="http://schemas.openxmlformats.org/spreadsheetml/2006/main" count="985" uniqueCount="275">
  <si>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</si>
  <si>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</si>
  <si>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</si>
  <si>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</si>
  <si>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</si>
  <si>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</si>
  <si>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</si>
  <si>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</si>
  <si>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</si>
  <si>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</si>
  <si>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</si>
  <si>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</si>
  <si>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</si>
  <si>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</si>
  <si>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</si>
  <si>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</si>
  <si>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</si>
  <si>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</si>
  <si>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</si>
  <si>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</si>
  <si>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</si>
  <si>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</si>
  <si>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</si>
  <si>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</si>
  <si>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</si>
  <si>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</si>
  <si>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</si>
  <si>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</si>
  <si>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</si>
  <si>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</si>
  <si>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</si>
  <si>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</si>
  <si>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</si>
  <si>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</si>
  <si>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</si>
  <si>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</si>
  <si>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</si>
  <si>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</si>
  <si>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</si>
  <si>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</si>
  <si>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</si>
  <si>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</si>
  <si>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</si>
  <si>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</si>
  <si>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</si>
  <si>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</si>
  <si>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</si>
  <si>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</si>
  <si>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</si>
  <si>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</si>
  <si>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</si>
  <si>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</si>
  <si>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</si>
  <si>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</si>
  <si>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</si>
  <si>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</si>
  <si>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</si>
  <si>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</si>
  <si>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</si>
  <si>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</si>
  <si>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</si>
  <si>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</si>
  <si>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</si>
  <si>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</si>
  <si>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</si>
  <si>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</si>
  <si>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</si>
  <si>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</si>
  <si>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</si>
  <si>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</si>
  <si>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</si>
  <si>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</si>
  <si>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</si>
  <si>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</si>
  <si>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</si>
  <si>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</si>
  <si>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</si>
  <si>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</si>
  <si>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</si>
  <si>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</si>
  <si>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</si>
  <si>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</si>
  <si>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</si>
  <si>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</si>
  <si>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</si>
  <si>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</si>
  <si>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</si>
  <si>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</si>
  <si>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</si>
  <si>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</si>
  <si>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</si>
  <si>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</si>
  <si>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</si>
  <si>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</si>
  <si>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</si>
  <si>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</si>
  <si>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</si>
  <si>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</si>
  <si>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</si>
  <si>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</si>
  <si>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</si>
  <si>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</si>
  <si>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</si>
  <si>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</si>
  <si>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</si>
  <si>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</si>
  <si>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</si>
  <si>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</si>
  <si>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</si>
  <si>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</si>
  <si>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</si>
  <si>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</si>
  <si>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</si>
  <si>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</si>
  <si>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</si>
  <si>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</si>
  <si>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</si>
  <si>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</si>
  <si>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</si>
  <si>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</si>
  <si>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</si>
  <si>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</si>
  <si>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</si>
  <si>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</si>
  <si>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</si>
  <si>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</si>
  <si>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</si>
  <si>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</si>
  <si>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</si>
  <si>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</si>
  <si>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</si>
  <si>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</si>
  <si>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</si>
  <si>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</si>
  <si>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</si>
  <si>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</si>
  <si>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</si>
  <si>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</si>
  <si>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</si>
  <si>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</si>
  <si>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</si>
  <si>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</si>
  <si>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</si>
  <si>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</si>
  <si>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</si>
  <si>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</si>
  <si>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</si>
  <si>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</si>
  <si>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</si>
  <si>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</si>
  <si>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</si>
  <si>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</si>
  <si>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</si>
  <si>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</si>
  <si>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</si>
  <si>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</si>
  <si>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</si>
  <si>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</si>
  <si>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</si>
  <si>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</si>
  <si>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</si>
  <si>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</si>
  <si>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</si>
  <si>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</si>
  <si>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</si>
  <si>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</si>
  <si>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</si>
  <si>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</si>
  <si>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</si>
  <si>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</si>
  <si>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</si>
  <si>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</si>
  <si>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</si>
  <si>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</si>
  <si>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</si>
  <si>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</si>
  <si>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</si>
  <si>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</si>
  <si>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</si>
  <si>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</si>
  <si>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</si>
  <si>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</si>
  <si>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</si>
  <si>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</si>
  <si>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</si>
  <si>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</si>
  <si>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</si>
  <si>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</si>
  <si>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</si>
  <si>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</si>
  <si>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</si>
  <si>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</si>
  <si>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</si>
  <si>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</si>
  <si>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</si>
  <si>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</si>
  <si>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</si>
  <si>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</si>
  <si>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</si>
  <si>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</si>
  <si>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</si>
  <si>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</si>
  <si>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</si>
  <si>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</si>
  <si>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</si>
  <si>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</si>
  <si>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</si>
  <si>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</si>
  <si>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</si>
  <si>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</si>
  <si>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</si>
  <si>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</si>
  <si>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</si>
  <si>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</si>
  <si>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</si>
  <si>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</si>
  <si>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</si>
  <si>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</si>
  <si>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</si>
  <si>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</si>
  <si>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</si>
  <si>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</si>
  <si>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</si>
  <si>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</si>
  <si>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</si>
  <si>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</si>
  <si>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</si>
  <si>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</si>
  <si>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</si>
  <si>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</si>
  <si>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</si>
  <si>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</si>
  <si>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</si>
  <si>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</si>
  <si>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</si>
  <si>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</si>
  <si>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</si>
  <si>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</si>
  <si>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</si>
  <si>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</si>
  <si>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</si>
  <si>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</si>
  <si>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</si>
  <si>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</si>
  <si>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</si>
  <si>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</si>
  <si>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</si>
  <si>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</si>
  <si>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</si>
  <si>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</si>
  <si>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</si>
  <si>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</si>
  <si>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</si>
  <si>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</si>
  <si>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</si>
  <si>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</si>
  <si>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</si>
  <si>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</si>
  <si>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</si>
  <si>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</si>
  <si>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</si>
  <si>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</si>
  <si>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</si>
  <si>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</si>
  <si>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</si>
  <si>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</si>
  <si>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</si>
  <si>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</si>
  <si>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</si>
  <si>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</si>
  <si>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</si>
  <si>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</si>
  <si>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</si>
  <si>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</si>
  <si>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18.05.15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</si>
</sst>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O18" sqref="O1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273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266</v>
      </c>
      <c r="N3" s="244" t="s">
        <v>267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262</v>
      </c>
      <c r="F4" s="227" t="s">
        <v>116</v>
      </c>
      <c r="G4" s="229" t="s">
        <v>263</v>
      </c>
      <c r="H4" s="231" t="s">
        <v>264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274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265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221628.22</v>
      </c>
      <c r="G8" s="18">
        <f aca="true" t="shared" si="0" ref="G8:G32">F8-E8</f>
        <v>-1897.4799999999814</v>
      </c>
      <c r="H8" s="45">
        <f>F8/E8*100</f>
        <v>99.15111327243355</v>
      </c>
      <c r="I8" s="31">
        <f aca="true" t="shared" si="1" ref="I8:I32">F8-D8</f>
        <v>-295800.78</v>
      </c>
      <c r="J8" s="31">
        <f aca="true" t="shared" si="2" ref="J8:J14">F8/D8*100</f>
        <v>42.832585726737385</v>
      </c>
      <c r="K8" s="18">
        <f>K9+K15+K18+K19+K20+K32</f>
        <v>25979.299999999996</v>
      </c>
      <c r="L8" s="18"/>
      <c r="M8" s="18">
        <f>M9+M15+M18+M19+M20+M32+M17</f>
        <v>46130.770000000004</v>
      </c>
      <c r="N8" s="18">
        <f>N9+N15+N18+N19+N20+N32+N17</f>
        <v>23091.069999999996</v>
      </c>
      <c r="O8" s="31">
        <f aca="true" t="shared" si="3" ref="O8:O32">N8-M8</f>
        <v>-23039.700000000008</v>
      </c>
      <c r="P8" s="31">
        <f>F8/M8*100</f>
        <v>480.434686002423</v>
      </c>
      <c r="Q8" s="31">
        <f>N8-33748.16</f>
        <v>-10657.090000000007</v>
      </c>
      <c r="R8" s="125">
        <f>N8/33748.16</f>
        <v>0.6842171543574522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124349.73</v>
      </c>
      <c r="G9" s="43">
        <f t="shared" si="0"/>
        <v>-3462.9199999999983</v>
      </c>
      <c r="H9" s="35">
        <f aca="true" t="shared" si="4" ref="H9:H32">F9/E9*100</f>
        <v>97.29062811857825</v>
      </c>
      <c r="I9" s="50">
        <f t="shared" si="1"/>
        <v>-188340.27000000002</v>
      </c>
      <c r="J9" s="50">
        <f t="shared" si="2"/>
        <v>39.76773481723112</v>
      </c>
      <c r="K9" s="132">
        <f>F9-148760.15/75*60</f>
        <v>5341.610000000001</v>
      </c>
      <c r="L9" s="132">
        <f>F9/(148760.15/75*60)*100</f>
        <v>104.48844162902498</v>
      </c>
      <c r="M9" s="35">
        <f>E9-квітень!E10</f>
        <v>26164.67</v>
      </c>
      <c r="N9" s="35">
        <f>F9-квітень!F10</f>
        <v>13584.080000000002</v>
      </c>
      <c r="O9" s="47">
        <f t="shared" si="3"/>
        <v>-12580.589999999997</v>
      </c>
      <c r="P9" s="50">
        <f aca="true" t="shared" si="5" ref="P9:P32">N9/M9*100</f>
        <v>51.91764314245126</v>
      </c>
      <c r="Q9" s="132">
        <f>N9-26568.11</f>
        <v>-12984.029999999999</v>
      </c>
      <c r="R9" s="133">
        <f>N9/26568.11</f>
        <v>0.5112926738108207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110048.5</v>
      </c>
      <c r="G10" s="135">
        <f t="shared" si="0"/>
        <v>-2573.75</v>
      </c>
      <c r="H10" s="137">
        <f t="shared" si="4"/>
        <v>97.71470557549685</v>
      </c>
      <c r="I10" s="136">
        <f t="shared" si="1"/>
        <v>-130361.5</v>
      </c>
      <c r="J10" s="136">
        <f t="shared" si="2"/>
        <v>45.775342123871724</v>
      </c>
      <c r="K10" s="138">
        <f>F10-134812.74/75*60</f>
        <v>2198.3080000000045</v>
      </c>
      <c r="L10" s="138">
        <f>F10/(134812.74/75*60)*100</f>
        <v>102.03829771577968</v>
      </c>
      <c r="M10" s="137">
        <f>E10-квітень!E11</f>
        <v>23050.67</v>
      </c>
      <c r="N10" s="137">
        <f>F10-квітень!F11</f>
        <v>11697.190000000002</v>
      </c>
      <c r="O10" s="138">
        <f t="shared" si="3"/>
        <v>-11353.479999999996</v>
      </c>
      <c r="P10" s="136">
        <f t="shared" si="5"/>
        <v>50.74555316613358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6669.82</v>
      </c>
      <c r="G11" s="135">
        <f t="shared" si="0"/>
        <v>-2288.1800000000003</v>
      </c>
      <c r="H11" s="137">
        <f t="shared" si="4"/>
        <v>74.45657512837687</v>
      </c>
      <c r="I11" s="136">
        <f t="shared" si="1"/>
        <v>-17030.18</v>
      </c>
      <c r="J11" s="136">
        <f t="shared" si="2"/>
        <v>28.142700421940926</v>
      </c>
      <c r="K11" s="138">
        <f>F11-9052.89/75*60</f>
        <v>-572.4920000000002</v>
      </c>
      <c r="L11" s="138">
        <f>F11/(9052.89/75*60)*100</f>
        <v>92.09517623653882</v>
      </c>
      <c r="M11" s="137">
        <f>E11-квітень!E12</f>
        <v>2010</v>
      </c>
      <c r="N11" s="137">
        <f>F11-квітень!F12</f>
        <v>368.3599999999997</v>
      </c>
      <c r="O11" s="138">
        <f t="shared" si="3"/>
        <v>-1641.6400000000003</v>
      </c>
      <c r="P11" s="136">
        <f t="shared" si="5"/>
        <v>18.326368159203966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1914.96</v>
      </c>
      <c r="G12" s="135">
        <f t="shared" si="0"/>
        <v>-254.03999999999996</v>
      </c>
      <c r="H12" s="137">
        <f t="shared" si="4"/>
        <v>88.28769017980636</v>
      </c>
      <c r="I12" s="136">
        <f t="shared" si="1"/>
        <v>-3885.04</v>
      </c>
      <c r="J12" s="136">
        <f t="shared" si="2"/>
        <v>33.01655172413793</v>
      </c>
      <c r="K12" s="138">
        <f>F12-2098.76/75*60</f>
        <v>235.952</v>
      </c>
      <c r="L12" s="138">
        <f>F12/(2098.76/75*60)*100</f>
        <v>114.0530599020374</v>
      </c>
      <c r="M12" s="137">
        <f>E12-квітень!E13</f>
        <v>450</v>
      </c>
      <c r="N12" s="137">
        <f>F12-квітень!F13</f>
        <v>196.72000000000003</v>
      </c>
      <c r="O12" s="138">
        <f t="shared" si="3"/>
        <v>-253.27999999999997</v>
      </c>
      <c r="P12" s="136">
        <f t="shared" si="5"/>
        <v>43.71555555555556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2086.58</v>
      </c>
      <c r="G13" s="135">
        <f t="shared" si="0"/>
        <v>-332.82000000000016</v>
      </c>
      <c r="H13" s="137">
        <f t="shared" si="4"/>
        <v>86.24369678432669</v>
      </c>
      <c r="I13" s="136">
        <f t="shared" si="1"/>
        <v>-6313.42</v>
      </c>
      <c r="J13" s="136">
        <f t="shared" si="2"/>
        <v>24.840238095238092</v>
      </c>
      <c r="K13" s="138">
        <f>F13-2795.76/75*60</f>
        <v>-150.02800000000025</v>
      </c>
      <c r="L13" s="138">
        <f>F13/(2795.76/75*60)*100</f>
        <v>93.29216384811284</v>
      </c>
      <c r="M13" s="137">
        <f>E13-квітень!E14</f>
        <v>264</v>
      </c>
      <c r="N13" s="137">
        <f>F13-квітень!F14</f>
        <v>423.80999999999995</v>
      </c>
      <c r="O13" s="138">
        <f t="shared" si="3"/>
        <v>159.80999999999995</v>
      </c>
      <c r="P13" s="136">
        <f t="shared" si="5"/>
        <v>160.5340909090909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3629.87</v>
      </c>
      <c r="G14" s="135">
        <f t="shared" si="0"/>
        <v>1985.87</v>
      </c>
      <c r="H14" s="137">
        <f t="shared" si="4"/>
        <v>220.7950121654501</v>
      </c>
      <c r="I14" s="136">
        <f t="shared" si="1"/>
        <v>-750.1300000000001</v>
      </c>
      <c r="J14" s="136">
        <f t="shared" si="2"/>
        <v>82.87374429223743</v>
      </c>
      <c r="K14" s="138">
        <f>F14-0</f>
        <v>3629.87</v>
      </c>
      <c r="L14" s="138"/>
      <c r="M14" s="137">
        <f>E14-квітень!E15</f>
        <v>390</v>
      </c>
      <c r="N14" s="137">
        <f>F14-квітень!F15</f>
        <v>898</v>
      </c>
      <c r="O14" s="138">
        <f t="shared" si="3"/>
        <v>508</v>
      </c>
      <c r="P14" s="136">
        <f t="shared" si="5"/>
        <v>230.25641025641025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-842.25</v>
      </c>
      <c r="G15" s="43">
        <f t="shared" si="0"/>
        <v>-1013.45</v>
      </c>
      <c r="H15" s="35"/>
      <c r="I15" s="50">
        <f t="shared" si="1"/>
        <v>-1342.25</v>
      </c>
      <c r="J15" s="50">
        <f>F15/D15*100</f>
        <v>-168.45000000000002</v>
      </c>
      <c r="K15" s="53">
        <f>F15-645.38</f>
        <v>-1487.63</v>
      </c>
      <c r="L15" s="53">
        <f>F15/645.38*100</f>
        <v>-130.50450897145868</v>
      </c>
      <c r="M15" s="35">
        <f>E15-квітень!E19</f>
        <v>0</v>
      </c>
      <c r="N15" s="35">
        <f>F15-квітень!F19</f>
        <v>68</v>
      </c>
      <c r="O15" s="47">
        <f t="shared" si="3"/>
        <v>68</v>
      </c>
      <c r="P15" s="50"/>
      <c r="Q15" s="50">
        <f>N15-358.81</f>
        <v>-290.81</v>
      </c>
      <c r="R15" s="126">
        <f>N15/358.81</f>
        <v>0.18951534238176193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-1327.72</v>
      </c>
      <c r="G16" s="135">
        <f t="shared" si="0"/>
        <v>-1327.72</v>
      </c>
      <c r="H16" s="137"/>
      <c r="I16" s="136">
        <f t="shared" si="1"/>
        <v>-1327.72</v>
      </c>
      <c r="J16" s="136"/>
      <c r="K16" s="138">
        <f>F16-805.66</f>
        <v>-2133.38</v>
      </c>
      <c r="L16" s="138">
        <f>F16/805.66*100</f>
        <v>-164.7990467442842</v>
      </c>
      <c r="M16" s="35">
        <f>E16-квітень!E29</f>
        <v>0</v>
      </c>
      <c r="N16" s="35">
        <f>F16-квітень!F29</f>
        <v>44.73000000000002</v>
      </c>
      <c r="O16" s="138">
        <f t="shared" si="3"/>
        <v>44.73000000000002</v>
      </c>
      <c r="P16" s="50"/>
      <c r="Q16" s="136">
        <f>N16-358.81</f>
        <v>-314.08</v>
      </c>
      <c r="R16" s="141">
        <f>N16/358.79</f>
        <v>0.12466902645001258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16640.91</v>
      </c>
      <c r="G19" s="43">
        <f t="shared" si="0"/>
        <v>858.1599999999999</v>
      </c>
      <c r="H19" s="35">
        <f t="shared" si="4"/>
        <v>105.43732872915051</v>
      </c>
      <c r="I19" s="50">
        <f t="shared" si="1"/>
        <v>-13309.09</v>
      </c>
      <c r="J19" s="178">
        <f>F19/D19*100</f>
        <v>55.562303839732884</v>
      </c>
      <c r="K19" s="179">
        <f>F19-0</f>
        <v>16640.91</v>
      </c>
      <c r="L19" s="180"/>
      <c r="M19" s="35">
        <f>E19-квітень!E34</f>
        <v>3120</v>
      </c>
      <c r="N19" s="35">
        <f>F19-квітень!F34</f>
        <v>283.28999999999905</v>
      </c>
      <c r="O19" s="47">
        <f t="shared" si="3"/>
        <v>-2836.710000000001</v>
      </c>
      <c r="P19" s="50">
        <f t="shared" si="5"/>
        <v>9.079807692307662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79247.65</v>
      </c>
      <c r="G20" s="43">
        <f t="shared" si="0"/>
        <v>3496.0499999999884</v>
      </c>
      <c r="H20" s="35">
        <f t="shared" si="4"/>
        <v>104.61515004303538</v>
      </c>
      <c r="I20" s="50">
        <f t="shared" si="1"/>
        <v>-87522.35</v>
      </c>
      <c r="J20" s="178">
        <f aca="true" t="shared" si="6" ref="J20:J32">F20/D20*100</f>
        <v>47.51912814055285</v>
      </c>
      <c r="K20" s="178">
        <f>K21+K25+K26+K27</f>
        <v>8548.089999999998</v>
      </c>
      <c r="L20" s="136"/>
      <c r="M20" s="35">
        <f>E20-квітень!E35</f>
        <v>14846.100000000006</v>
      </c>
      <c r="N20" s="35">
        <f>F20-квітень!F35</f>
        <v>8953.509999999995</v>
      </c>
      <c r="O20" s="47">
        <f t="shared" si="3"/>
        <v>-5892.590000000011</v>
      </c>
      <c r="P20" s="50">
        <f t="shared" si="5"/>
        <v>60.30883531701923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39095.07</v>
      </c>
      <c r="G21" s="43">
        <f t="shared" si="0"/>
        <v>-819.0299999999988</v>
      </c>
      <c r="H21" s="35">
        <f t="shared" si="4"/>
        <v>97.94801836944839</v>
      </c>
      <c r="I21" s="50">
        <f t="shared" si="1"/>
        <v>-59104.93</v>
      </c>
      <c r="J21" s="178">
        <f t="shared" si="6"/>
        <v>39.811680244399184</v>
      </c>
      <c r="K21" s="178">
        <f>K22+K23+K24</f>
        <v>6260.810000000001</v>
      </c>
      <c r="L21" s="136"/>
      <c r="M21" s="35">
        <f>E21-квітень!E36</f>
        <v>8061.0999999999985</v>
      </c>
      <c r="N21" s="35">
        <f>F21-квітень!F36</f>
        <v>1811.1699999999983</v>
      </c>
      <c r="O21" s="47">
        <f t="shared" si="3"/>
        <v>-6249.93</v>
      </c>
      <c r="P21" s="50">
        <f t="shared" si="5"/>
        <v>22.468025455582968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4290.78</v>
      </c>
      <c r="G22" s="135">
        <f t="shared" si="0"/>
        <v>4014.68</v>
      </c>
      <c r="H22" s="137">
        <f t="shared" si="4"/>
        <v>1554.067366896052</v>
      </c>
      <c r="I22" s="136">
        <f t="shared" si="1"/>
        <v>3290.7799999999997</v>
      </c>
      <c r="J22" s="136">
        <f t="shared" si="6"/>
        <v>429.078</v>
      </c>
      <c r="K22" s="136">
        <f>F22-129.75</f>
        <v>4161.03</v>
      </c>
      <c r="L22" s="136">
        <f>F22/129.75*100</f>
        <v>3306.9595375722542</v>
      </c>
      <c r="M22" s="137">
        <f>E22-квітень!E37</f>
        <v>5.100000000000023</v>
      </c>
      <c r="N22" s="137">
        <f>F22-квітень!F37</f>
        <v>71.71000000000004</v>
      </c>
      <c r="O22" s="138">
        <f t="shared" si="3"/>
        <v>66.61000000000001</v>
      </c>
      <c r="P22" s="136">
        <f t="shared" si="5"/>
        <v>1406.0784313725435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154.22</v>
      </c>
      <c r="G23" s="135">
        <f t="shared" si="0"/>
        <v>-95.78</v>
      </c>
      <c r="H23" s="137"/>
      <c r="I23" s="136">
        <f t="shared" si="1"/>
        <v>-1345.78</v>
      </c>
      <c r="J23" s="136">
        <f t="shared" si="6"/>
        <v>10.281333333333333</v>
      </c>
      <c r="K23" s="136">
        <f>F23-0</f>
        <v>154.22</v>
      </c>
      <c r="L23" s="136"/>
      <c r="M23" s="137">
        <f>E23-квітень!E38</f>
        <v>0</v>
      </c>
      <c r="N23" s="137">
        <f>F23-квітень!F38</f>
        <v>12.5</v>
      </c>
      <c r="O23" s="138">
        <f t="shared" si="3"/>
        <v>12.5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34650.07</v>
      </c>
      <c r="G24" s="135">
        <f t="shared" si="0"/>
        <v>-4737.93</v>
      </c>
      <c r="H24" s="137">
        <f t="shared" si="4"/>
        <v>87.97113334010358</v>
      </c>
      <c r="I24" s="136">
        <f t="shared" si="1"/>
        <v>-61049.93</v>
      </c>
      <c r="J24" s="136">
        <f t="shared" si="6"/>
        <v>36.2069696969697</v>
      </c>
      <c r="K24" s="139">
        <f>F24-32704.51</f>
        <v>1945.5600000000013</v>
      </c>
      <c r="L24" s="139">
        <f>F24/32704.51*100</f>
        <v>105.94890429485109</v>
      </c>
      <c r="M24" s="137">
        <f>E24-квітень!E39</f>
        <v>8056</v>
      </c>
      <c r="N24" s="137">
        <f>F24-квітень!F39</f>
        <v>1726.9599999999991</v>
      </c>
      <c r="O24" s="138">
        <f t="shared" si="3"/>
        <v>-6329.040000000001</v>
      </c>
      <c r="P24" s="136">
        <f t="shared" si="5"/>
        <v>21.436941410129084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30.52</v>
      </c>
      <c r="G25" s="43">
        <f t="shared" si="0"/>
        <v>13.02</v>
      </c>
      <c r="H25" s="35">
        <f t="shared" si="4"/>
        <v>174.4</v>
      </c>
      <c r="I25" s="50">
        <f t="shared" si="1"/>
        <v>-39.480000000000004</v>
      </c>
      <c r="J25" s="178">
        <f t="shared" si="6"/>
        <v>43.6</v>
      </c>
      <c r="K25" s="178">
        <f>F25-26.1</f>
        <v>4.419999999999998</v>
      </c>
      <c r="L25" s="178">
        <f>F25/26.1*100</f>
        <v>116.93486590038313</v>
      </c>
      <c r="M25" s="35">
        <f>E25-квітень!E40</f>
        <v>5</v>
      </c>
      <c r="N25" s="35">
        <f>F25-квітень!F40</f>
        <v>7.359999999999999</v>
      </c>
      <c r="O25" s="47">
        <f t="shared" si="3"/>
        <v>2.3599999999999994</v>
      </c>
      <c r="P25" s="50">
        <f t="shared" si="5"/>
        <v>147.2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-100.5</v>
      </c>
      <c r="G26" s="43">
        <f t="shared" si="0"/>
        <v>-100.5</v>
      </c>
      <c r="H26" s="35"/>
      <c r="I26" s="50">
        <f t="shared" si="1"/>
        <v>-100.5</v>
      </c>
      <c r="J26" s="136"/>
      <c r="K26" s="178">
        <f>F26-2664.98</f>
        <v>-2765.48</v>
      </c>
      <c r="L26" s="178">
        <f>F26/2664.98*100</f>
        <v>-3.7711352430412237</v>
      </c>
      <c r="M26" s="35">
        <f>E26-квітень!E41</f>
        <v>0</v>
      </c>
      <c r="N26" s="35">
        <f>F26-квітень!F41</f>
        <v>-41.26</v>
      </c>
      <c r="O26" s="47">
        <f t="shared" si="3"/>
        <v>-41.26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40222.56</v>
      </c>
      <c r="G27" s="43">
        <f t="shared" si="0"/>
        <v>4402.559999999998</v>
      </c>
      <c r="H27" s="35">
        <f t="shared" si="4"/>
        <v>112.29078726968173</v>
      </c>
      <c r="I27" s="50">
        <f t="shared" si="1"/>
        <v>-28277.440000000002</v>
      </c>
      <c r="J27" s="178">
        <f t="shared" si="6"/>
        <v>58.71906569343065</v>
      </c>
      <c r="K27" s="132">
        <f>F27-35174.22</f>
        <v>5048.3399999999965</v>
      </c>
      <c r="L27" s="132">
        <f>F27/35174.22*100</f>
        <v>114.35238649215249</v>
      </c>
      <c r="M27" s="35">
        <f>E27-квітень!E42</f>
        <v>6780</v>
      </c>
      <c r="N27" s="35">
        <f>F27-квітень!F42</f>
        <v>7176.239999999998</v>
      </c>
      <c r="O27" s="47">
        <f t="shared" si="3"/>
        <v>396.23999999999796</v>
      </c>
      <c r="P27" s="50">
        <f t="shared" si="5"/>
        <v>105.84424778761058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-1.22</v>
      </c>
      <c r="G28" s="135">
        <f t="shared" si="0"/>
        <v>-1.22</v>
      </c>
      <c r="H28" s="137"/>
      <c r="I28" s="136">
        <f t="shared" si="1"/>
        <v>-1.22</v>
      </c>
      <c r="J28" s="136"/>
      <c r="K28" s="139">
        <f>F28-0.27</f>
        <v>-1.49</v>
      </c>
      <c r="L28" s="139">
        <f>F28/0.27*100</f>
        <v>-451.8518518518518</v>
      </c>
      <c r="M28" s="137">
        <f>E28-квітень!E43</f>
        <v>0</v>
      </c>
      <c r="N28" s="137">
        <f>F28-квітень!F43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10198.7</v>
      </c>
      <c r="G29" s="135">
        <f t="shared" si="0"/>
        <v>1058.7000000000007</v>
      </c>
      <c r="H29" s="137">
        <f t="shared" si="4"/>
        <v>111.58315098468272</v>
      </c>
      <c r="I29" s="136">
        <f t="shared" si="1"/>
        <v>-6301.299999999999</v>
      </c>
      <c r="J29" s="136">
        <f t="shared" si="6"/>
        <v>61.81030303030304</v>
      </c>
      <c r="K29" s="139">
        <f>F29-9886.89</f>
        <v>311.8100000000013</v>
      </c>
      <c r="L29" s="139">
        <f>F29/9886.89*100</f>
        <v>103.1537723186968</v>
      </c>
      <c r="M29" s="137">
        <f>E29-квітень!E44</f>
        <v>2500</v>
      </c>
      <c r="N29" s="137">
        <f>F29-квітень!F44</f>
        <v>2016.2900000000009</v>
      </c>
      <c r="O29" s="138">
        <f t="shared" si="3"/>
        <v>-483.7099999999991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30019.2</v>
      </c>
      <c r="G30" s="135">
        <f t="shared" si="0"/>
        <v>3339.2000000000007</v>
      </c>
      <c r="H30" s="137">
        <f t="shared" si="4"/>
        <v>112.51574212893554</v>
      </c>
      <c r="I30" s="136">
        <f t="shared" si="1"/>
        <v>-21980.8</v>
      </c>
      <c r="J30" s="136">
        <f t="shared" si="6"/>
        <v>57.72923076923077</v>
      </c>
      <c r="K30" s="139">
        <f>F30-25287.05</f>
        <v>4732.1500000000015</v>
      </c>
      <c r="L30" s="139">
        <f>F30/25287.05*100</f>
        <v>118.71372896403496</v>
      </c>
      <c r="M30" s="137">
        <f>E30-квітень!E45</f>
        <v>4280</v>
      </c>
      <c r="N30" s="137">
        <f>F30-квітень!F45</f>
        <v>5159.84</v>
      </c>
      <c r="O30" s="138">
        <f t="shared" si="3"/>
        <v>879.8400000000001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5.88</v>
      </c>
      <c r="G31" s="135">
        <f t="shared" si="0"/>
        <v>5.88</v>
      </c>
      <c r="H31" s="137"/>
      <c r="I31" s="136">
        <f t="shared" si="1"/>
        <v>5.88</v>
      </c>
      <c r="J31" s="136"/>
      <c r="K31" s="139">
        <f>F31-0</f>
        <v>5.88</v>
      </c>
      <c r="L31" s="139"/>
      <c r="M31" s="137">
        <f>E31-квітень!E46</f>
        <v>0</v>
      </c>
      <c r="N31" s="137">
        <f>F31-квітень!F46</f>
        <v>0.1299999999999999</v>
      </c>
      <c r="O31" s="138">
        <f t="shared" si="3"/>
        <v>0.1299999999999999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2216.29</v>
      </c>
      <c r="G32" s="43">
        <f t="shared" si="0"/>
        <v>-1778.21</v>
      </c>
      <c r="H32" s="35">
        <f t="shared" si="4"/>
        <v>55.48353986731757</v>
      </c>
      <c r="I32" s="50">
        <f t="shared" si="1"/>
        <v>-5283.71</v>
      </c>
      <c r="J32" s="178">
        <f t="shared" si="6"/>
        <v>29.550533333333334</v>
      </c>
      <c r="K32" s="178">
        <f>F32-5292.86</f>
        <v>-3076.5699999999997</v>
      </c>
      <c r="L32" s="178">
        <f>F32/2618.43*100</f>
        <v>84.64194192703262</v>
      </c>
      <c r="M32" s="35">
        <f>E32-квітень!E47</f>
        <v>2000</v>
      </c>
      <c r="N32" s="35">
        <f>F32-квітень!F47</f>
        <v>202.19000000000005</v>
      </c>
      <c r="O32" s="47">
        <f t="shared" si="3"/>
        <v>-1797.81</v>
      </c>
      <c r="P32" s="50">
        <f t="shared" si="5"/>
        <v>10.109500000000002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12141.4</v>
      </c>
      <c r="G33" s="44">
        <f aca="true" t="shared" si="7" ref="G33:G54">F33-E33</f>
        <v>6978.4</v>
      </c>
      <c r="H33" s="45">
        <f>F33/E33*100</f>
        <v>235.16172767770675</v>
      </c>
      <c r="I33" s="31">
        <f aca="true" t="shared" si="8" ref="I33:I54">F33-D33</f>
        <v>-425.7000000000007</v>
      </c>
      <c r="J33" s="31">
        <f aca="true" t="shared" si="9" ref="J33:J46">F33/D33*100</f>
        <v>96.61258365096164</v>
      </c>
      <c r="K33" s="18">
        <f>K34+K35+K36+K37+K38+K41+K42+K47+K48+K52+K40</f>
        <v>6791.11</v>
      </c>
      <c r="L33" s="18"/>
      <c r="M33" s="18">
        <f>M34+M35+M36+M37+M38+M41+M42+M47+M48+M52+M40+M39</f>
        <v>1074.5</v>
      </c>
      <c r="N33" s="18">
        <f>N34+N35+N36+N37+N38+N41+N42+N47+N48+N52+N40+N39</f>
        <v>1707.8</v>
      </c>
      <c r="O33" s="49">
        <f aca="true" t="shared" si="10" ref="O33:O54">N33-M33</f>
        <v>633.3</v>
      </c>
      <c r="P33" s="31">
        <f>N33/M33*100</f>
        <v>158.93904141461144</v>
      </c>
      <c r="Q33" s="31">
        <f>N33-1017.63</f>
        <v>690.17</v>
      </c>
      <c r="R33" s="127">
        <f>N33/1017.63</f>
        <v>1.678213102994212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18.41</v>
      </c>
      <c r="G36" s="43">
        <f t="shared" si="7"/>
        <v>18.41</v>
      </c>
      <c r="H36" s="35"/>
      <c r="I36" s="50">
        <f t="shared" si="8"/>
        <v>18.41</v>
      </c>
      <c r="J36" s="50"/>
      <c r="K36" s="50">
        <f>F36-214.58</f>
        <v>-196.17000000000002</v>
      </c>
      <c r="L36" s="50">
        <f>F36/214.58*100</f>
        <v>8.579550750302916</v>
      </c>
      <c r="M36" s="35">
        <f>E36-квітень!E58</f>
        <v>0</v>
      </c>
      <c r="N36" s="35">
        <f>F36-квітень!F58</f>
        <v>0.1700000000000017</v>
      </c>
      <c r="O36" s="47">
        <f t="shared" si="10"/>
        <v>0.1700000000000017</v>
      </c>
      <c r="P36" s="50"/>
      <c r="Q36" s="50">
        <f>N36-4.23</f>
        <v>-4.059999999999999</v>
      </c>
      <c r="R36" s="126">
        <f>N36/4.23</f>
        <v>0.04018912529550867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43.31</v>
      </c>
      <c r="G38" s="43">
        <f t="shared" si="7"/>
        <v>-7.689999999999998</v>
      </c>
      <c r="H38" s="35">
        <f>F38/E38*100</f>
        <v>84.92156862745098</v>
      </c>
      <c r="I38" s="50">
        <f t="shared" si="8"/>
        <v>-96.69</v>
      </c>
      <c r="J38" s="50">
        <f t="shared" si="9"/>
        <v>30.93571428571429</v>
      </c>
      <c r="K38" s="50">
        <f>F38-47.09</f>
        <v>-3.780000000000001</v>
      </c>
      <c r="L38" s="50">
        <f>F38/47.09*100</f>
        <v>91.97281800806965</v>
      </c>
      <c r="M38" s="35">
        <f>E38-квітень!E60</f>
        <v>14</v>
      </c>
      <c r="N38" s="35">
        <f>F38-квітень!F60</f>
        <v>2.0600000000000023</v>
      </c>
      <c r="O38" s="47">
        <f t="shared" si="10"/>
        <v>-11.939999999999998</v>
      </c>
      <c r="P38" s="50">
        <f>N38/M38*100</f>
        <v>14.71428571428573</v>
      </c>
      <c r="Q38" s="50">
        <f>N38-9.02</f>
        <v>-6.959999999999997</v>
      </c>
      <c r="R38" s="126">
        <f>N38/9.02</f>
        <v>0.2283813747228384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3732.4</v>
      </c>
      <c r="G40" s="43"/>
      <c r="H40" s="35"/>
      <c r="I40" s="50">
        <f t="shared" si="8"/>
        <v>3732.4</v>
      </c>
      <c r="J40" s="50"/>
      <c r="K40" s="50">
        <f>F40-0</f>
        <v>3732.4</v>
      </c>
      <c r="L40" s="50"/>
      <c r="M40" s="35">
        <f>E40-квітень!E67</f>
        <v>0</v>
      </c>
      <c r="N40" s="35">
        <f>F40-квітень!F67</f>
        <v>384.3699999999999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3110.68</v>
      </c>
      <c r="G42" s="43">
        <f t="shared" si="7"/>
        <v>2730.68</v>
      </c>
      <c r="H42" s="35">
        <f>F42/E42*100</f>
        <v>818.6</v>
      </c>
      <c r="I42" s="50">
        <f t="shared" si="8"/>
        <v>2010.6799999999998</v>
      </c>
      <c r="J42" s="50">
        <f t="shared" si="9"/>
        <v>282.7890909090909</v>
      </c>
      <c r="K42" s="50">
        <f>F42-350.98</f>
        <v>2759.7</v>
      </c>
      <c r="L42" s="50">
        <f>F42/350.98*100</f>
        <v>886.2841187532051</v>
      </c>
      <c r="M42" s="35">
        <f>E42-квітень!E69</f>
        <v>70</v>
      </c>
      <c r="N42" s="35">
        <f>F42-квітень!F69</f>
        <v>279.5799999999999</v>
      </c>
      <c r="O42" s="47">
        <f t="shared" si="10"/>
        <v>209.57999999999993</v>
      </c>
      <c r="P42" s="50">
        <f>N42/M42*100</f>
        <v>399.39999999999986</v>
      </c>
      <c r="Q42" s="50">
        <f>N42-79.51</f>
        <v>200.06999999999994</v>
      </c>
      <c r="R42" s="126">
        <f>N42/79.51</f>
        <v>3.5162872594642174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364.04</v>
      </c>
      <c r="G43" s="135">
        <f t="shared" si="7"/>
        <v>34.04000000000002</v>
      </c>
      <c r="H43" s="137">
        <f>F43/E43*100</f>
        <v>110.31515151515153</v>
      </c>
      <c r="I43" s="136">
        <f t="shared" si="8"/>
        <v>-605.96</v>
      </c>
      <c r="J43" s="136">
        <f t="shared" si="9"/>
        <v>37.5298969072165</v>
      </c>
      <c r="K43" s="136">
        <f>F43-304.83</f>
        <v>59.210000000000036</v>
      </c>
      <c r="L43" s="136">
        <f>F43/304.83*100</f>
        <v>119.4239412131352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44.46</v>
      </c>
      <c r="G44" s="135">
        <f t="shared" si="7"/>
        <v>44.46</v>
      </c>
      <c r="H44" s="137"/>
      <c r="I44" s="136">
        <f t="shared" si="8"/>
        <v>44.46</v>
      </c>
      <c r="J44" s="136"/>
      <c r="K44" s="136">
        <f>F44-0</f>
        <v>44.46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2701.45</v>
      </c>
      <c r="G46" s="135">
        <f t="shared" si="7"/>
        <v>2651.45</v>
      </c>
      <c r="H46" s="137">
        <f>F46/E46*100</f>
        <v>5402.9</v>
      </c>
      <c r="I46" s="136">
        <f t="shared" si="8"/>
        <v>2571.45</v>
      </c>
      <c r="J46" s="136">
        <f t="shared" si="9"/>
        <v>2078.0384615384614</v>
      </c>
      <c r="K46" s="136">
        <f>F46-46.16</f>
        <v>2655.29</v>
      </c>
      <c r="L46" s="136">
        <f>F46/46.16*100</f>
        <v>5852.361351819757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1731.06</v>
      </c>
      <c r="G48" s="43">
        <f t="shared" si="7"/>
        <v>61.059999999999945</v>
      </c>
      <c r="H48" s="35">
        <f>F48/E48*100</f>
        <v>103.6562874251497</v>
      </c>
      <c r="I48" s="50">
        <f t="shared" si="8"/>
        <v>-2468.94</v>
      </c>
      <c r="J48" s="50">
        <f>F48/D48*100</f>
        <v>41.215714285714284</v>
      </c>
      <c r="K48" s="50">
        <f>F48-1649.93</f>
        <v>81.12999999999988</v>
      </c>
      <c r="L48" s="50">
        <f>F48/1649.93*100</f>
        <v>104.91717830453413</v>
      </c>
      <c r="M48" s="35">
        <f>E48-квітень!E72</f>
        <v>400</v>
      </c>
      <c r="N48" s="35">
        <f>F48-квітень!F72</f>
        <v>295.29999999999995</v>
      </c>
      <c r="O48" s="47">
        <f t="shared" si="10"/>
        <v>-104.70000000000005</v>
      </c>
      <c r="P48" s="50">
        <f aca="true" t="shared" si="11" ref="P48:P53">N48/M48*100</f>
        <v>73.82499999999999</v>
      </c>
      <c r="Q48" s="50">
        <f>N48-277.38</f>
        <v>17.91999999999996</v>
      </c>
      <c r="R48" s="126">
        <f>N48/277.38</f>
        <v>1.064604513663566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423.4</v>
      </c>
      <c r="G51" s="135">
        <f t="shared" si="7"/>
        <v>423.4</v>
      </c>
      <c r="H51" s="137"/>
      <c r="I51" s="136">
        <f t="shared" si="8"/>
        <v>423.4</v>
      </c>
      <c r="J51" s="136"/>
      <c r="K51" s="136">
        <f>F51-290</f>
        <v>133.39999999999998</v>
      </c>
      <c r="L51" s="138">
        <f>F51/290*100</f>
        <v>146</v>
      </c>
      <c r="M51" s="35">
        <f>E51-квітень!E75</f>
        <v>0</v>
      </c>
      <c r="N51" s="35">
        <f>F51-квітень!F75</f>
        <v>107.69999999999999</v>
      </c>
      <c r="O51" s="138">
        <f t="shared" si="10"/>
        <v>107.69999999999999</v>
      </c>
      <c r="P51" s="136"/>
      <c r="Q51" s="50">
        <f>N51-64.93</f>
        <v>42.76999999999998</v>
      </c>
      <c r="R51" s="126">
        <f>N51/64.93</f>
        <v>1.6587093793315875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233776.15999999997</v>
      </c>
      <c r="G55" s="44">
        <f>F55-E55</f>
        <v>5076.859999999986</v>
      </c>
      <c r="H55" s="45">
        <f>F55/E55*100</f>
        <v>102.21988436344142</v>
      </c>
      <c r="I55" s="31">
        <f>F55-D55</f>
        <v>-296246.44</v>
      </c>
      <c r="J55" s="31">
        <f>F55/D55*100</f>
        <v>44.10682865221219</v>
      </c>
      <c r="K55" s="31">
        <f>K8+K33+K53+K54</f>
        <v>32765.239999999994</v>
      </c>
      <c r="L55" s="31">
        <f>(K55/(F55+K55))*100</f>
        <v>12.292739514386883</v>
      </c>
      <c r="M55" s="18">
        <f>M8+M33+M53+M54</f>
        <v>47207.47</v>
      </c>
      <c r="N55" s="18">
        <f>N8+N33+N53+N54</f>
        <v>24798.869999999995</v>
      </c>
      <c r="O55" s="49">
        <f>N55-M55</f>
        <v>-22408.600000000006</v>
      </c>
      <c r="P55" s="31">
        <f>N55/M55*100</f>
        <v>52.5316650097961</v>
      </c>
      <c r="Q55" s="31">
        <f>N55-34768</f>
        <v>-9969.130000000005</v>
      </c>
      <c r="R55" s="171">
        <f>N55/34768</f>
        <v>0.7132670846755637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-19.38</v>
      </c>
      <c r="G61" s="43">
        <f aca="true" t="shared" si="12" ref="G61:G68">F61-E61</f>
        <v>-19.38</v>
      </c>
      <c r="H61" s="35"/>
      <c r="I61" s="53">
        <f aca="true" t="shared" si="13" ref="I61:I68">F61-D61</f>
        <v>-19.38</v>
      </c>
      <c r="J61" s="53"/>
      <c r="K61" s="47">
        <f>F61-119.54</f>
        <v>-138.92000000000002</v>
      </c>
      <c r="L61" s="53"/>
      <c r="M61" s="35">
        <f>E61-березень!E87</f>
        <v>0</v>
      </c>
      <c r="N61" s="35">
        <f>F61-квітень!F85</f>
        <v>-4.729999999999999</v>
      </c>
      <c r="O61" s="47">
        <f aca="true" t="shared" si="14" ref="O61:O68">N61-M61</f>
        <v>-4.729999999999999</v>
      </c>
      <c r="P61" s="53"/>
      <c r="Q61" s="53">
        <f>N61-24.53</f>
        <v>-29.259999999999998</v>
      </c>
      <c r="R61" s="129">
        <f>N61/24.53</f>
        <v>-0.19282511210762326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-19.38</v>
      </c>
      <c r="G62" s="55">
        <f t="shared" si="12"/>
        <v>-19.38</v>
      </c>
      <c r="H62" s="65"/>
      <c r="I62" s="54">
        <f t="shared" si="13"/>
        <v>-19.38</v>
      </c>
      <c r="J62" s="54"/>
      <c r="K62" s="54">
        <f>K60+K61</f>
        <v>-137.82000000000002</v>
      </c>
      <c r="L62" s="54"/>
      <c r="M62" s="55">
        <f>M61</f>
        <v>0</v>
      </c>
      <c r="N62" s="33">
        <f>SUM(N60:N61)</f>
        <v>-13.479999999999999</v>
      </c>
      <c r="O62" s="54">
        <f t="shared" si="14"/>
        <v>-13.479999999999999</v>
      </c>
      <c r="P62" s="54"/>
      <c r="Q62" s="54">
        <f>N62-92.85</f>
        <v>-106.33</v>
      </c>
      <c r="R62" s="130">
        <f>N62/92.85</f>
        <v>-0.1451803984921917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91.72</v>
      </c>
      <c r="G64" s="43">
        <f t="shared" si="12"/>
        <v>-308.28</v>
      </c>
      <c r="H64" s="35"/>
      <c r="I64" s="53">
        <f t="shared" si="13"/>
        <v>-2408.28</v>
      </c>
      <c r="J64" s="53">
        <f t="shared" si="15"/>
        <v>3.6688</v>
      </c>
      <c r="K64" s="53">
        <f>F64-1611.93</f>
        <v>-1520.21</v>
      </c>
      <c r="L64" s="53">
        <f>F64/1611.93*100</f>
        <v>5.690073390283697</v>
      </c>
      <c r="M64" s="35">
        <f>E64-квітень!E88</f>
        <v>330</v>
      </c>
      <c r="N64" s="35">
        <f>F64-квітень!F88</f>
        <v>0</v>
      </c>
      <c r="O64" s="47">
        <f t="shared" si="14"/>
        <v>-330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1984.19</v>
      </c>
      <c r="G65" s="43">
        <f t="shared" si="12"/>
        <v>-79.4699999999998</v>
      </c>
      <c r="H65" s="35">
        <f>F65/E65*100</f>
        <v>96.14907494451607</v>
      </c>
      <c r="I65" s="53">
        <f t="shared" si="13"/>
        <v>-9591.81</v>
      </c>
      <c r="J65" s="53">
        <f t="shared" si="15"/>
        <v>17.140549412577748</v>
      </c>
      <c r="K65" s="53">
        <f>F65-2070.75</f>
        <v>-86.55999999999995</v>
      </c>
      <c r="L65" s="53">
        <f>F65/2070.75*100</f>
        <v>95.81987202704335</v>
      </c>
      <c r="M65" s="35">
        <f>E65-квітень!E89</f>
        <v>564.6799999999998</v>
      </c>
      <c r="N65" s="35">
        <f>F65-квітень!F89</f>
        <v>46.13000000000011</v>
      </c>
      <c r="O65" s="47">
        <f t="shared" si="14"/>
        <v>-518.5499999999997</v>
      </c>
      <c r="P65" s="53">
        <f>N65/M65*100</f>
        <v>8.169228589643714</v>
      </c>
      <c r="Q65" s="53">
        <f>N65-450.01</f>
        <v>-403.8799999999999</v>
      </c>
      <c r="R65" s="129">
        <f>N65/450.01</f>
        <v>0.10250883313704165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3744.1099999999997</v>
      </c>
      <c r="G67" s="55">
        <f t="shared" si="12"/>
        <v>688.0499999999997</v>
      </c>
      <c r="H67" s="65">
        <f>F67/E67*100</f>
        <v>122.51428309653605</v>
      </c>
      <c r="I67" s="54">
        <f t="shared" si="13"/>
        <v>-13331.89</v>
      </c>
      <c r="J67" s="54">
        <f t="shared" si="15"/>
        <v>21.926153665963923</v>
      </c>
      <c r="K67" s="54">
        <f>K64+K65+K66</f>
        <v>-639.3599999999999</v>
      </c>
      <c r="L67" s="54"/>
      <c r="M67" s="55">
        <f>M64+M65+M66</f>
        <v>1042.7799999999997</v>
      </c>
      <c r="N67" s="55">
        <f>N64+N65+N66</f>
        <v>1680.19</v>
      </c>
      <c r="O67" s="54">
        <f t="shared" si="14"/>
        <v>637.4100000000003</v>
      </c>
      <c r="P67" s="54">
        <f>N67/M67*100</f>
        <v>161.12602850073844</v>
      </c>
      <c r="Q67" s="54">
        <f>N67-7985.28</f>
        <v>-6305.09</v>
      </c>
      <c r="R67" s="173">
        <f>N67/7985.28</f>
        <v>0.2104109060671636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</v>
      </c>
      <c r="G70" s="43">
        <f>F70-E70</f>
        <v>0.7</v>
      </c>
      <c r="H70" s="35"/>
      <c r="I70" s="53">
        <f>F70-D70</f>
        <v>0.7</v>
      </c>
      <c r="J70" s="53"/>
      <c r="K70" s="53">
        <f>F70-0.04</f>
        <v>0.6599999999999999</v>
      </c>
      <c r="L70" s="53">
        <f>F70/0.04*100</f>
        <v>1750</v>
      </c>
      <c r="M70" s="35">
        <f>E70-квітень!E95</f>
        <v>0</v>
      </c>
      <c r="N70" s="35">
        <f>F70-квітень!F95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0.7</v>
      </c>
      <c r="G71" s="55">
        <f>F71-E71</f>
        <v>-20.3</v>
      </c>
      <c r="H71" s="65"/>
      <c r="I71" s="54">
        <f>F71-D71</f>
        <v>-53.3</v>
      </c>
      <c r="J71" s="54">
        <f>F71/D71*100</f>
        <v>1.2962962962962963</v>
      </c>
      <c r="K71" s="54">
        <f>K68+K69+K70</f>
        <v>-27.810000000000002</v>
      </c>
      <c r="L71" s="54"/>
      <c r="M71" s="55">
        <f>M68+M70+M69</f>
        <v>2</v>
      </c>
      <c r="N71" s="55">
        <f>N68+N70+N69</f>
        <v>0</v>
      </c>
      <c r="O71" s="54">
        <f>N71-M71</f>
        <v>-2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13.38</v>
      </c>
      <c r="G72" s="43">
        <f>F72-E72</f>
        <v>-0.40999999999999837</v>
      </c>
      <c r="H72" s="35">
        <f>F72/E72*100</f>
        <v>97.02683103698332</v>
      </c>
      <c r="I72" s="53">
        <f>F72-D72</f>
        <v>-28.619999999999997</v>
      </c>
      <c r="J72" s="53">
        <f>F72/D72*100</f>
        <v>31.85714285714286</v>
      </c>
      <c r="K72" s="53">
        <f>F72-13.15</f>
        <v>0.23000000000000043</v>
      </c>
      <c r="L72" s="53">
        <f>F72/13.15*100</f>
        <v>101.74904942965779</v>
      </c>
      <c r="M72" s="35">
        <f>E72-квітень!E97</f>
        <v>1</v>
      </c>
      <c r="N72" s="35">
        <f>F72-квітень!F97</f>
        <v>0</v>
      </c>
      <c r="O72" s="47">
        <f>N72-M72</f>
        <v>-1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3739.0099999999993</v>
      </c>
      <c r="G74" s="44">
        <f>F74-E74</f>
        <v>648.1599999999994</v>
      </c>
      <c r="H74" s="45">
        <f>F74/E74*100</f>
        <v>120.97028325541517</v>
      </c>
      <c r="I74" s="31">
        <f>F74-D74</f>
        <v>-13432.990000000002</v>
      </c>
      <c r="J74" s="31">
        <f>F74/D74*100</f>
        <v>21.773876077335196</v>
      </c>
      <c r="K74" s="31">
        <f>K62+K67+K71+K72</f>
        <v>-804.76</v>
      </c>
      <c r="L74" s="31"/>
      <c r="M74" s="27">
        <f>M62+M72+M67+M71</f>
        <v>1045.7799999999997</v>
      </c>
      <c r="N74" s="27">
        <f>N62+N72+N67+N71+N73</f>
        <v>1666.71</v>
      </c>
      <c r="O74" s="31">
        <f>N74-M74</f>
        <v>620.9300000000003</v>
      </c>
      <c r="P74" s="31">
        <f>N74/M74*100</f>
        <v>159.37482070798833</v>
      </c>
      <c r="Q74" s="31">
        <f>N74-8104.96</f>
        <v>-6438.25</v>
      </c>
      <c r="R74" s="127">
        <f>N74/8104.96</f>
        <v>0.20564074344598862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237515.16999999998</v>
      </c>
      <c r="G75" s="44">
        <f>F75-E75</f>
        <v>5725.0199999999895</v>
      </c>
      <c r="H75" s="45">
        <f>F75/E75*100</f>
        <v>102.46991513660093</v>
      </c>
      <c r="I75" s="31">
        <f>F75-D75</f>
        <v>-309679.43</v>
      </c>
      <c r="J75" s="31">
        <f>F75/D75*100</f>
        <v>43.40597842157068</v>
      </c>
      <c r="K75" s="31">
        <f>K55+K74</f>
        <v>31960.479999999996</v>
      </c>
      <c r="L75" s="31"/>
      <c r="M75" s="18">
        <f>M55+M74</f>
        <v>48253.25</v>
      </c>
      <c r="N75" s="18">
        <f>N55+N74</f>
        <v>26465.579999999994</v>
      </c>
      <c r="O75" s="31">
        <f>N75-M75</f>
        <v>-21787.670000000006</v>
      </c>
      <c r="P75" s="31">
        <f>N75/M75*100</f>
        <v>54.84724863092122</v>
      </c>
      <c r="Q75" s="31">
        <f>N75-42872.96</f>
        <v>-16407.380000000005</v>
      </c>
      <c r="R75" s="127">
        <f>N75/42872.96</f>
        <v>0.6173023742704025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9</v>
      </c>
      <c r="D77" s="4" t="s">
        <v>118</v>
      </c>
    </row>
    <row r="78" spans="2:17" ht="31.5">
      <c r="B78" s="71" t="s">
        <v>154</v>
      </c>
      <c r="C78" s="34">
        <f>IF(O55&lt;0,ABS(O55/C77),0)</f>
        <v>2489.844444444445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42142</v>
      </c>
      <c r="D79" s="34">
        <v>2648.3</v>
      </c>
      <c r="N79" s="207"/>
      <c r="O79" s="207"/>
    </row>
    <row r="80" spans="3:15" ht="15.75">
      <c r="C80" s="111">
        <v>42139</v>
      </c>
      <c r="D80" s="34">
        <v>4526.9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42138</v>
      </c>
      <c r="D81" s="34">
        <v>1902.2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7:13" ht="15.75" customHeight="1"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156040.41547</v>
      </c>
      <c r="E83" s="73"/>
      <c r="F83" s="156" t="s">
        <v>147</v>
      </c>
      <c r="G83" s="214" t="s">
        <v>149</v>
      </c>
      <c r="H83" s="214"/>
      <c r="I83" s="107">
        <v>147130.68326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96" sqref="H9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259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240</v>
      </c>
      <c r="N3" s="244" t="s">
        <v>241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237</v>
      </c>
      <c r="F4" s="247" t="s">
        <v>116</v>
      </c>
      <c r="G4" s="229" t="s">
        <v>238</v>
      </c>
      <c r="H4" s="231" t="s">
        <v>239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260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48"/>
      <c r="G5" s="230"/>
      <c r="H5" s="232"/>
      <c r="I5" s="225"/>
      <c r="J5" s="221"/>
      <c r="K5" s="217" t="s">
        <v>242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19"/>
      <c r="H103" s="219"/>
      <c r="I103" s="219"/>
      <c r="J103" s="219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07"/>
      <c r="O104" s="207"/>
    </row>
    <row r="105" spans="3:15" ht="15.75">
      <c r="C105" s="111">
        <v>42123</v>
      </c>
      <c r="D105" s="34">
        <v>7959.6</v>
      </c>
      <c r="F105" s="201" t="s">
        <v>166</v>
      </c>
      <c r="G105" s="208"/>
      <c r="H105" s="208"/>
      <c r="I105" s="177"/>
      <c r="J105" s="205"/>
      <c r="K105" s="205"/>
      <c r="L105" s="205"/>
      <c r="M105" s="205"/>
      <c r="N105" s="207"/>
      <c r="O105" s="207"/>
    </row>
    <row r="106" spans="3:15" ht="15.75" customHeight="1">
      <c r="C106" s="111">
        <v>42122</v>
      </c>
      <c r="D106" s="34">
        <v>4962.7</v>
      </c>
      <c r="G106" s="214" t="s">
        <v>151</v>
      </c>
      <c r="H106" s="214"/>
      <c r="I106" s="106">
        <v>8909.73221</v>
      </c>
      <c r="J106" s="206"/>
      <c r="K106" s="206"/>
      <c r="L106" s="206"/>
      <c r="M106" s="206"/>
      <c r="N106" s="207"/>
      <c r="O106" s="207"/>
    </row>
    <row r="107" spans="7:13" ht="15.75" customHeight="1">
      <c r="G107" s="215" t="s">
        <v>234</v>
      </c>
      <c r="H107" s="216"/>
      <c r="I107" s="103">
        <v>0</v>
      </c>
      <c r="J107" s="205"/>
      <c r="K107" s="205"/>
      <c r="L107" s="205"/>
      <c r="M107" s="205"/>
    </row>
    <row r="108" spans="2:13" ht="18.75" customHeight="1">
      <c r="B108" s="212" t="s">
        <v>160</v>
      </c>
      <c r="C108" s="213"/>
      <c r="D108" s="108">
        <v>154856.06924</v>
      </c>
      <c r="E108" s="73"/>
      <c r="F108" s="202" t="s">
        <v>147</v>
      </c>
      <c r="G108" s="214" t="s">
        <v>149</v>
      </c>
      <c r="H108" s="214"/>
      <c r="I108" s="107">
        <v>145946.33703</v>
      </c>
      <c r="J108" s="205"/>
      <c r="K108" s="205"/>
      <c r="L108" s="205"/>
      <c r="M108" s="205"/>
    </row>
    <row r="109" spans="7:12" ht="9.75" customHeight="1">
      <c r="G109" s="208"/>
      <c r="H109" s="208"/>
      <c r="I109" s="90"/>
      <c r="J109" s="91"/>
      <c r="K109" s="91"/>
      <c r="L109" s="91"/>
    </row>
    <row r="110" spans="2:12" ht="22.5" customHeight="1" hidden="1">
      <c r="B110" s="209" t="s">
        <v>167</v>
      </c>
      <c r="C110" s="210"/>
      <c r="D110" s="110">
        <v>0</v>
      </c>
      <c r="E110" s="70" t="s">
        <v>104</v>
      </c>
      <c r="G110" s="208"/>
      <c r="H110" s="208"/>
      <c r="I110" s="90"/>
      <c r="J110" s="91"/>
      <c r="K110" s="91"/>
      <c r="L110" s="91"/>
    </row>
    <row r="111" spans="4:15" ht="15.75">
      <c r="D111" s="105"/>
      <c r="N111" s="208"/>
      <c r="O111" s="208"/>
    </row>
    <row r="112" spans="4:15" ht="15.75">
      <c r="D112" s="104"/>
      <c r="I112" s="34"/>
      <c r="N112" s="211"/>
      <c r="O112" s="211"/>
    </row>
    <row r="113" spans="14:15" ht="15.75">
      <c r="N113" s="208"/>
      <c r="O113" s="208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231</v>
      </c>
      <c r="N3" s="244" t="s">
        <v>232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228</v>
      </c>
      <c r="F4" s="227" t="s">
        <v>116</v>
      </c>
      <c r="G4" s="229" t="s">
        <v>229</v>
      </c>
      <c r="H4" s="231" t="s">
        <v>230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236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233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07"/>
      <c r="O105" s="207"/>
    </row>
    <row r="106" spans="3:15" ht="15.75">
      <c r="C106" s="111">
        <v>42093</v>
      </c>
      <c r="D106" s="34">
        <v>8025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42090</v>
      </c>
      <c r="D107" s="34">
        <v>4282.6</v>
      </c>
      <c r="G107" s="214" t="s">
        <v>151</v>
      </c>
      <c r="H107" s="214"/>
      <c r="I107" s="106">
        <f>8909732.21/1000</f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15" t="s">
        <v>234</v>
      </c>
      <c r="H108" s="216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147433239.77/1000</f>
        <v>147433.23977000001</v>
      </c>
      <c r="E109" s="73"/>
      <c r="F109" s="156" t="s">
        <v>147</v>
      </c>
      <c r="G109" s="214" t="s">
        <v>149</v>
      </c>
      <c r="H109" s="214"/>
      <c r="I109" s="107">
        <f>138523507.56/1000</f>
        <v>138523.50756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221</v>
      </c>
      <c r="N3" s="244" t="s">
        <v>202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199</v>
      </c>
      <c r="F4" s="227" t="s">
        <v>116</v>
      </c>
      <c r="G4" s="229" t="s">
        <v>200</v>
      </c>
      <c r="H4" s="231" t="s">
        <v>201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226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224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07"/>
      <c r="O105" s="207"/>
    </row>
    <row r="106" spans="3:15" ht="15.75">
      <c r="C106" s="111">
        <v>42061</v>
      </c>
      <c r="D106" s="34">
        <v>6003.3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42060</v>
      </c>
      <c r="D107" s="34">
        <v>1551.3</v>
      </c>
      <c r="G107" s="214" t="s">
        <v>151</v>
      </c>
      <c r="H107" s="214"/>
      <c r="I107" s="106"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49" t="s">
        <v>155</v>
      </c>
      <c r="H108" s="249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138305956.27/1000</f>
        <v>138305.95627000002</v>
      </c>
      <c r="E109" s="73"/>
      <c r="F109" s="156" t="s">
        <v>147</v>
      </c>
      <c r="G109" s="214" t="s">
        <v>149</v>
      </c>
      <c r="H109" s="214"/>
      <c r="I109" s="107">
        <v>129396.23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220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219</v>
      </c>
      <c r="F4" s="227" t="s">
        <v>116</v>
      </c>
      <c r="G4" s="229" t="s">
        <v>173</v>
      </c>
      <c r="H4" s="256" t="s">
        <v>174</v>
      </c>
      <c r="I4" s="254" t="s">
        <v>217</v>
      </c>
      <c r="J4" s="252" t="s">
        <v>218</v>
      </c>
      <c r="K4" s="116" t="s">
        <v>172</v>
      </c>
      <c r="L4" s="121" t="s">
        <v>171</v>
      </c>
      <c r="M4" s="220"/>
      <c r="N4" s="222" t="s">
        <v>194</v>
      </c>
      <c r="O4" s="254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7"/>
      <c r="I5" s="255"/>
      <c r="J5" s="253"/>
      <c r="K5" s="217" t="s">
        <v>188</v>
      </c>
      <c r="L5" s="218"/>
      <c r="M5" s="221"/>
      <c r="N5" s="223"/>
      <c r="O5" s="255"/>
      <c r="P5" s="244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19"/>
      <c r="H102" s="219"/>
      <c r="I102" s="219"/>
      <c r="J102" s="21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7"/>
      <c r="O103" s="207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50" t="s">
        <v>161</v>
      </c>
      <c r="K104" s="250"/>
      <c r="L104" s="250"/>
      <c r="M104" s="250"/>
      <c r="N104" s="207"/>
      <c r="O104" s="207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1" t="s">
        <v>162</v>
      </c>
      <c r="K105" s="251"/>
      <c r="L105" s="251"/>
      <c r="M105" s="251"/>
      <c r="N105" s="207"/>
      <c r="O105" s="207"/>
    </row>
    <row r="106" spans="7:13" ht="15.75" customHeight="1">
      <c r="G106" s="214" t="s">
        <v>148</v>
      </c>
      <c r="H106" s="214"/>
      <c r="I106" s="103">
        <f>'січень '!I141</f>
        <v>0</v>
      </c>
      <c r="J106" s="250" t="s">
        <v>163</v>
      </c>
      <c r="K106" s="250"/>
      <c r="L106" s="250"/>
      <c r="M106" s="250"/>
    </row>
    <row r="107" spans="2:13" ht="18.75" customHeight="1">
      <c r="B107" s="212" t="s">
        <v>160</v>
      </c>
      <c r="C107" s="213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50" t="s">
        <v>164</v>
      </c>
      <c r="K107" s="250"/>
      <c r="L107" s="250"/>
      <c r="M107" s="250"/>
    </row>
    <row r="108" spans="7:12" ht="9.75" customHeight="1">
      <c r="G108" s="208"/>
      <c r="H108" s="208"/>
      <c r="I108" s="90"/>
      <c r="J108" s="91"/>
      <c r="K108" s="91"/>
      <c r="L108" s="91"/>
    </row>
    <row r="109" spans="2:12" ht="22.5" customHeight="1" hidden="1">
      <c r="B109" s="209" t="s">
        <v>167</v>
      </c>
      <c r="C109" s="210"/>
      <c r="D109" s="110">
        <v>0</v>
      </c>
      <c r="E109" s="70" t="s">
        <v>104</v>
      </c>
      <c r="G109" s="208"/>
      <c r="H109" s="208"/>
      <c r="I109" s="90"/>
      <c r="J109" s="91"/>
      <c r="K109" s="91"/>
      <c r="L109" s="91"/>
    </row>
    <row r="110" spans="4:15" ht="15.75">
      <c r="D110" s="105"/>
      <c r="N110" s="208"/>
      <c r="O110" s="208"/>
    </row>
    <row r="111" spans="4:15" ht="15.75">
      <c r="D111" s="104"/>
      <c r="I111" s="34"/>
      <c r="N111" s="211"/>
      <c r="O111" s="211"/>
    </row>
    <row r="112" spans="14:15" ht="15.75">
      <c r="N112" s="208"/>
      <c r="O112" s="20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203</v>
      </c>
      <c r="C3" s="238" t="s">
        <v>0</v>
      </c>
      <c r="D3" s="239" t="s">
        <v>190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187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153</v>
      </c>
      <c r="F4" s="227" t="s">
        <v>116</v>
      </c>
      <c r="G4" s="229" t="s">
        <v>173</v>
      </c>
      <c r="H4" s="256" t="s">
        <v>174</v>
      </c>
      <c r="I4" s="254" t="s">
        <v>186</v>
      </c>
      <c r="J4" s="252" t="s">
        <v>189</v>
      </c>
      <c r="K4" s="116" t="s">
        <v>172</v>
      </c>
      <c r="L4" s="121" t="s">
        <v>171</v>
      </c>
      <c r="M4" s="220"/>
      <c r="N4" s="222" t="s">
        <v>194</v>
      </c>
      <c r="O4" s="254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7"/>
      <c r="I5" s="255"/>
      <c r="J5" s="253"/>
      <c r="K5" s="217" t="s">
        <v>188</v>
      </c>
      <c r="L5" s="218"/>
      <c r="M5" s="221"/>
      <c r="N5" s="223"/>
      <c r="O5" s="255"/>
      <c r="P5" s="244"/>
      <c r="Q5" s="217" t="s">
        <v>176</v>
      </c>
      <c r="R5" s="21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19"/>
      <c r="H137" s="219"/>
      <c r="I137" s="219"/>
      <c r="J137" s="21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7"/>
      <c r="O138" s="207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50" t="s">
        <v>161</v>
      </c>
      <c r="K139" s="250"/>
      <c r="L139" s="250"/>
      <c r="M139" s="250"/>
      <c r="N139" s="207"/>
      <c r="O139" s="207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1" t="s">
        <v>162</v>
      </c>
      <c r="K140" s="251"/>
      <c r="L140" s="251"/>
      <c r="M140" s="251"/>
      <c r="N140" s="207"/>
      <c r="O140" s="207"/>
    </row>
    <row r="141" spans="7:13" ht="15.75" customHeight="1">
      <c r="G141" s="214" t="s">
        <v>148</v>
      </c>
      <c r="H141" s="214"/>
      <c r="I141" s="103">
        <v>0</v>
      </c>
      <c r="J141" s="250" t="s">
        <v>163</v>
      </c>
      <c r="K141" s="250"/>
      <c r="L141" s="250"/>
      <c r="M141" s="250"/>
    </row>
    <row r="142" spans="2:13" ht="18.75" customHeight="1">
      <c r="B142" s="212" t="s">
        <v>160</v>
      </c>
      <c r="C142" s="213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50" t="s">
        <v>164</v>
      </c>
      <c r="K142" s="250"/>
      <c r="L142" s="250"/>
      <c r="M142" s="250"/>
    </row>
    <row r="143" spans="7:12" ht="9.75" customHeight="1">
      <c r="G143" s="208"/>
      <c r="H143" s="208"/>
      <c r="I143" s="90"/>
      <c r="J143" s="91"/>
      <c r="K143" s="91"/>
      <c r="L143" s="91"/>
    </row>
    <row r="144" spans="2:12" ht="22.5" customHeight="1" hidden="1">
      <c r="B144" s="209" t="s">
        <v>167</v>
      </c>
      <c r="C144" s="210"/>
      <c r="D144" s="110">
        <v>0</v>
      </c>
      <c r="E144" s="70" t="s">
        <v>104</v>
      </c>
      <c r="G144" s="208"/>
      <c r="H144" s="208"/>
      <c r="I144" s="90"/>
      <c r="J144" s="91"/>
      <c r="K144" s="91"/>
      <c r="L144" s="91"/>
    </row>
    <row r="145" spans="4:15" ht="15.75">
      <c r="D145" s="105"/>
      <c r="N145" s="208"/>
      <c r="O145" s="208"/>
    </row>
    <row r="146" spans="4:15" ht="15.75">
      <c r="D146" s="104"/>
      <c r="I146" s="34"/>
      <c r="N146" s="211"/>
      <c r="O146" s="211"/>
    </row>
    <row r="147" spans="14:15" ht="15.75">
      <c r="N147" s="208"/>
      <c r="O147" s="208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2015-05-19T09:01:45Z</cp:lastPrinted>
  <dcterms:created xsi:type="dcterms:W3CDTF">2003-07-28T11:27:56Z</dcterms:created>
  <dcterms:modified xsi:type="dcterms:W3CDTF">2015-05-19T09:25:52Z</dcterms:modified>
  <cp:category/>
  <cp:version/>
  <cp:contentType/>
  <cp:contentStatus/>
</cp:coreProperties>
</file>